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tes.centerit.dk\DavWWWRoot\projekter\HME\Delte dokumenter\HME dokumenter\AEM\Ernæring\Vidste du at\Revidering 2017\Selve arkene\Raske ældre 65 +\Informationsmateriale til E-fokus\"/>
    </mc:Choice>
  </mc:AlternateContent>
  <bookViews>
    <workbookView xWindow="0" yWindow="0" windowWidth="18660" windowHeight="1102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9" i="1"/>
  <c r="H8" i="1" l="1"/>
  <c r="H7" i="1"/>
  <c r="H6" i="1"/>
  <c r="H5" i="1"/>
  <c r="H4" i="1"/>
  <c r="H9" i="1" s="1"/>
  <c r="H15" i="1" l="1"/>
  <c r="H14" i="1"/>
  <c r="H13" i="1"/>
  <c r="H12" i="1"/>
  <c r="H11" i="1"/>
  <c r="V7" i="1" l="1"/>
  <c r="V5" i="1"/>
  <c r="J4" i="1" l="1"/>
  <c r="O4" i="1"/>
  <c r="V4" i="1"/>
  <c r="I16" i="1" l="1"/>
  <c r="E16" i="1"/>
  <c r="V15" i="1"/>
  <c r="O15" i="1"/>
  <c r="J15" i="1"/>
  <c r="V14" i="1"/>
  <c r="O14" i="1"/>
  <c r="J14" i="1"/>
  <c r="V13" i="1"/>
  <c r="O13" i="1"/>
  <c r="J13" i="1"/>
  <c r="V12" i="1"/>
  <c r="O12" i="1"/>
  <c r="J12" i="1"/>
  <c r="V11" i="1"/>
  <c r="O11" i="1"/>
  <c r="J11" i="1"/>
  <c r="I9" i="1"/>
  <c r="E9" i="1"/>
  <c r="V8" i="1"/>
  <c r="O8" i="1"/>
  <c r="J8" i="1"/>
  <c r="O7" i="1"/>
  <c r="J7" i="1"/>
  <c r="V6" i="1"/>
  <c r="O6" i="1"/>
  <c r="J6" i="1"/>
  <c r="O5" i="1"/>
  <c r="J5" i="1"/>
  <c r="V16" i="1" l="1"/>
  <c r="G12" i="1"/>
  <c r="G15" i="1"/>
  <c r="G11" i="1"/>
  <c r="G16" i="1" s="1"/>
  <c r="G14" i="1"/>
  <c r="G13" i="1"/>
  <c r="V9" i="1"/>
  <c r="G8" i="1"/>
  <c r="G7" i="1"/>
  <c r="G6" i="1"/>
  <c r="G5" i="1"/>
  <c r="G4" i="1"/>
  <c r="O9" i="1"/>
  <c r="J9" i="1"/>
  <c r="J16" i="1"/>
  <c r="G9" i="1" l="1"/>
</calcChain>
</file>

<file path=xl/sharedStrings.xml><?xml version="1.0" encoding="utf-8"?>
<sst xmlns="http://schemas.openxmlformats.org/spreadsheetml/2006/main" count="98" uniqueCount="51">
  <si>
    <t>Målgruppe</t>
  </si>
  <si>
    <t>Måltidstype</t>
  </si>
  <si>
    <t>Fedt (E%)</t>
  </si>
  <si>
    <t>Mættet fedt (E%)</t>
  </si>
  <si>
    <t>Mættet fedt (g)</t>
  </si>
  <si>
    <t>Protein (E%)</t>
  </si>
  <si>
    <t>Protein (g)</t>
  </si>
  <si>
    <t>Kulhydrat (E%)</t>
  </si>
  <si>
    <t>Tilsat sukker (E%)</t>
  </si>
  <si>
    <t>Kostfibre g/MJ</t>
  </si>
  <si>
    <t>Kostfibre g/måltid</t>
  </si>
  <si>
    <t>Alkohol (E%)</t>
  </si>
  <si>
    <t>Morgenmad</t>
  </si>
  <si>
    <t>Mellemmåltid</t>
  </si>
  <si>
    <t>Frokost</t>
  </si>
  <si>
    <t>Aftensmad</t>
  </si>
  <si>
    <t>Total</t>
  </si>
  <si>
    <t>&lt;10</t>
  </si>
  <si>
    <t>15 - 20</t>
  </si>
  <si>
    <t>&lt; 10</t>
  </si>
  <si>
    <t>25-35 g/dag</t>
  </si>
  <si>
    <t>Indhold i måltiderne</t>
  </si>
  <si>
    <t>Energi i måltiderne, total</t>
  </si>
  <si>
    <t>Måltidernes indhold af makronæringsstoffer</t>
  </si>
  <si>
    <t>Vidste du at….</t>
  </si>
  <si>
    <t>Tilsat sukker (g)</t>
  </si>
  <si>
    <t>Alkohol</t>
  </si>
  <si>
    <t xml:space="preserve">Kostfibre </t>
  </si>
  <si>
    <t>Anbefaling (kJ)</t>
  </si>
  <si>
    <t>Anbefaling (E%)</t>
  </si>
  <si>
    <t>Måltid (E%)</t>
  </si>
  <si>
    <t>Måltid (kJ)</t>
  </si>
  <si>
    <t>Måltid (kcal)</t>
  </si>
  <si>
    <t>Andel frugt og grønt</t>
  </si>
  <si>
    <t>Små ændringer i kosten, gør at 65+ møder kostrådene</t>
  </si>
  <si>
    <t>1 glas sukkersødet saftevand. 1 ½ skive rugbrød med smørbart 80%, 1 skive rullepølse, lidt rå løg, pållægssky, friskost naturel, 3 skiver agurk, 3 skiver bresaola, 2 stk chornichon. ½ skive lyst franskbrød med stærk skæreost 45 + og sennep</t>
  </si>
  <si>
    <t>1 blomme, 1 skive lyst franskbrød med smørbart 80% og appelsinmarmelade</t>
  </si>
  <si>
    <t xml:space="preserve"> 95 g pæretærte med 2 spsk flødeskum. Se opskrift "Pæretærte"</t>
  </si>
  <si>
    <t>Det spiser du nu</t>
  </si>
  <si>
    <t>1 stort glas rødvin, 200 g kogte kartofler, 170 g kylling med skind og ben, ¾ dl sauce, 65 g agurkesalat, 30 g momordressing</t>
  </si>
  <si>
    <t>2 blommer, 1 skive ristet rugbrød, tomatsuppe (færdigproduceret) med creme fraiche 9%</t>
  </si>
  <si>
    <t>1 skive rugbrød ristet i ovn med et lille drys sukker og et drys kanel, 1 pære, 5 små valnødder, 2 stk mørk chokolade</t>
  </si>
  <si>
    <t xml:space="preserve">1 sort kop kaffe, 1 glas minimælk, 1 blødkogt æg, ½ skive groft franskbrød med skæreost 45 + og rød peberfrugt, ½ skive groft franskbrød med appelsinmarmelade, 2 cherrytomater, 1 æble </t>
  </si>
  <si>
    <t>1 sort kop kaffe, 1 glas letmælk, 1 blødkogt æg, ½ skive lyst franskbrød med smørbart 80%, skæreost 45 + og solbærmarmelade, ½ skive lyst franskbrød med smørbart 80%, brie 70+ og appelsinmarmelade</t>
  </si>
  <si>
    <t>1 lille glas rødvin, 1 portion af opskriften "Grydestegt kylling med sauce, agurkesalat, spidskålsalat og momor-dressing"</t>
  </si>
  <si>
    <t>Forslag til ændringer</t>
  </si>
  <si>
    <t>&lt; 32</t>
  </si>
  <si>
    <t>Anbefaling (g)</t>
  </si>
  <si>
    <t>Andel i måltidet (g)</t>
  </si>
  <si>
    <t>&lt;12</t>
  </si>
  <si>
    <r>
      <t>1 glas minimælk. 1 ½ skive rugbrød, 30 g røget makrel med æggestand på et salatblad, 2 skiver tomat og lidt stegt bacon, 3 skiver b</t>
    </r>
    <r>
      <rPr>
        <sz val="9"/>
        <rFont val="Arial"/>
        <family val="2"/>
      </rPr>
      <t>resaola</t>
    </r>
    <r>
      <rPr>
        <sz val="9"/>
        <color theme="1"/>
        <rFont val="Arial"/>
        <family val="2"/>
      </rPr>
      <t xml:space="preserve"> med 2 stk chornichon. ½ skive groft franskbrød med røget laks og dilddressing, ½ majskolbe, 4 stk grønne asparges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</si>
</sst>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color theme="1"/>
      <name val="Arial"/>
      <family val="2"/>
    </font>
    <font>
      <sz val="9"/>
      <color rgb="FF9C57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EDD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8" borderId="0" applyNumberFormat="0" applyBorder="0" applyAlignment="0" applyProtection="0"/>
  </cellStyleXfs>
  <cellXfs count="105">
    <xf numFmtId="0" fontId="0" fillId="0" borderId="0" xfId="0"/>
    <xf numFmtId="1" fontId="1" fillId="5" borderId="0" xfId="0" applyNumberFormat="1" applyFont="1" applyFill="1" applyBorder="1" applyAlignment="1">
      <alignment horizontal="left"/>
    </xf>
    <xf numFmtId="164" fontId="1" fillId="5" borderId="0" xfId="0" applyNumberFormat="1" applyFont="1" applyFill="1" applyBorder="1" applyAlignment="1">
      <alignment horizontal="left"/>
    </xf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3" fillId="0" borderId="8" xfId="0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0" fillId="0" borderId="24" xfId="0" applyBorder="1"/>
    <xf numFmtId="1" fontId="1" fillId="4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left" vertical="center"/>
    </xf>
    <xf numFmtId="1" fontId="1" fillId="4" borderId="0" xfId="0" applyNumberFormat="1" applyFont="1" applyFill="1" applyBorder="1" applyAlignment="1">
      <alignment horizontal="left"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left" vertical="center" wrapText="1"/>
    </xf>
    <xf numFmtId="1" fontId="8" fillId="6" borderId="9" xfId="0" applyNumberFormat="1" applyFont="1" applyFill="1" applyBorder="1" applyAlignment="1">
      <alignment horizontal="left" vertical="center" wrapText="1"/>
    </xf>
    <xf numFmtId="1" fontId="8" fillId="6" borderId="11" xfId="0" applyNumberFormat="1" applyFont="1" applyFill="1" applyBorder="1" applyAlignment="1">
      <alignment horizontal="left" vertical="center" wrapText="1"/>
    </xf>
    <xf numFmtId="1" fontId="9" fillId="6" borderId="17" xfId="0" applyNumberFormat="1" applyFont="1" applyFill="1" applyBorder="1" applyAlignment="1">
      <alignment horizontal="left" vertical="center" wrapText="1"/>
    </xf>
    <xf numFmtId="1" fontId="8" fillId="6" borderId="4" xfId="0" applyNumberFormat="1" applyFont="1" applyFill="1" applyBorder="1" applyAlignment="1">
      <alignment horizontal="left" vertical="center" wrapText="1"/>
    </xf>
    <xf numFmtId="1" fontId="8" fillId="6" borderId="12" xfId="0" applyNumberFormat="1" applyFont="1" applyFill="1" applyBorder="1" applyAlignment="1">
      <alignment horizontal="left" vertical="center" wrapText="1"/>
    </xf>
    <xf numFmtId="1" fontId="8" fillId="6" borderId="17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 wrapText="1"/>
    </xf>
    <xf numFmtId="1" fontId="0" fillId="7" borderId="11" xfId="0" applyNumberFormat="1" applyFont="1" applyFill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1" fontId="0" fillId="7" borderId="11" xfId="0" applyNumberFormat="1" applyFont="1" applyFill="1" applyBorder="1" applyAlignment="1">
      <alignment horizontal="right" vertical="center" wrapText="1"/>
    </xf>
    <xf numFmtId="1" fontId="0" fillId="7" borderId="1" xfId="0" applyNumberFormat="1" applyFont="1" applyFill="1" applyBorder="1" applyAlignment="1">
      <alignment horizontal="right" vertical="center"/>
    </xf>
    <xf numFmtId="1" fontId="0" fillId="0" borderId="12" xfId="0" applyNumberFormat="1" applyFont="1" applyBorder="1" applyAlignment="1">
      <alignment horizontal="right" vertical="center"/>
    </xf>
    <xf numFmtId="1" fontId="0" fillId="7" borderId="11" xfId="0" applyNumberFormat="1" applyFont="1" applyFill="1" applyBorder="1" applyAlignment="1">
      <alignment horizontal="right" vertical="center"/>
    </xf>
    <xf numFmtId="1" fontId="0" fillId="7" borderId="1" xfId="0" applyNumberFormat="1" applyFont="1" applyFill="1" applyBorder="1" applyAlignment="1">
      <alignment horizontal="right" vertical="center" wrapText="1"/>
    </xf>
    <xf numFmtId="1" fontId="0" fillId="3" borderId="1" xfId="0" applyNumberFormat="1" applyFont="1" applyFill="1" applyBorder="1" applyAlignment="1">
      <alignment horizontal="right" vertical="center"/>
    </xf>
    <xf numFmtId="1" fontId="0" fillId="3" borderId="9" xfId="0" applyNumberFormat="1" applyFont="1" applyFill="1" applyBorder="1" applyAlignment="1">
      <alignment horizontal="right" vertical="center"/>
    </xf>
    <xf numFmtId="1" fontId="0" fillId="7" borderId="17" xfId="0" applyNumberFormat="1" applyFont="1" applyFill="1" applyBorder="1" applyAlignment="1">
      <alignment horizontal="right" vertical="center"/>
    </xf>
    <xf numFmtId="1" fontId="0" fillId="0" borderId="19" xfId="0" applyNumberFormat="1" applyFont="1" applyBorder="1" applyAlignment="1">
      <alignment horizontal="right" vertical="center"/>
    </xf>
    <xf numFmtId="1" fontId="0" fillId="0" borderId="9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center" vertical="center" wrapText="1"/>
    </xf>
    <xf numFmtId="1" fontId="0" fillId="7" borderId="4" xfId="0" applyNumberFormat="1" applyFont="1" applyFill="1" applyBorder="1" applyAlignment="1">
      <alignment horizontal="right" vertical="center"/>
    </xf>
    <xf numFmtId="1" fontId="0" fillId="3" borderId="16" xfId="0" applyNumberFormat="1" applyFont="1" applyFill="1" applyBorder="1" applyAlignment="1">
      <alignment horizontal="right" vertical="center"/>
    </xf>
    <xf numFmtId="1" fontId="3" fillId="7" borderId="11" xfId="0" applyNumberFormat="1" applyFont="1" applyFill="1" applyBorder="1" applyAlignment="1">
      <alignment horizontal="right" vertical="center"/>
    </xf>
    <xf numFmtId="1" fontId="3" fillId="7" borderId="11" xfId="1" applyNumberFormat="1" applyFont="1" applyFill="1" applyBorder="1" applyAlignment="1">
      <alignment vertical="center" wrapText="1"/>
    </xf>
    <xf numFmtId="1" fontId="3" fillId="7" borderId="1" xfId="1" applyNumberFormat="1" applyFont="1" applyFill="1" applyBorder="1" applyAlignment="1">
      <alignment horizontal="right" vertical="center" wrapText="1"/>
    </xf>
    <xf numFmtId="1" fontId="0" fillId="0" borderId="31" xfId="0" applyNumberFormat="1" applyFont="1" applyBorder="1" applyAlignment="1">
      <alignment horizontal="left" vertical="center"/>
    </xf>
    <xf numFmtId="1" fontId="0" fillId="0" borderId="20" xfId="0" applyNumberFormat="1" applyFont="1" applyBorder="1" applyAlignment="1">
      <alignment horizontal="left" vertical="center" wrapText="1"/>
    </xf>
    <xf numFmtId="1" fontId="0" fillId="7" borderId="3" xfId="0" applyNumberFormat="1" applyFont="1" applyFill="1" applyBorder="1" applyAlignment="1">
      <alignment horizontal="right" vertical="center"/>
    </xf>
    <xf numFmtId="1" fontId="0" fillId="0" borderId="3" xfId="0" applyNumberFormat="1" applyFont="1" applyBorder="1" applyAlignment="1">
      <alignment horizontal="right" vertical="center"/>
    </xf>
    <xf numFmtId="1" fontId="0" fillId="3" borderId="20" xfId="0" applyNumberFormat="1" applyFont="1" applyFill="1" applyBorder="1" applyAlignment="1">
      <alignment horizontal="right" vertical="center"/>
    </xf>
    <xf numFmtId="1" fontId="0" fillId="0" borderId="22" xfId="0" applyNumberFormat="1" applyFont="1" applyBorder="1" applyAlignment="1">
      <alignment horizontal="right" vertical="center"/>
    </xf>
    <xf numFmtId="1" fontId="0" fillId="7" borderId="21" xfId="0" applyNumberFormat="1" applyFont="1" applyFill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1" fontId="3" fillId="0" borderId="31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vertical="center"/>
    </xf>
    <xf numFmtId="1" fontId="3" fillId="7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right" vertical="center"/>
    </xf>
    <xf numFmtId="1" fontId="3" fillId="7" borderId="17" xfId="0" applyNumberFormat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1" fontId="3" fillId="7" borderId="2" xfId="0" applyNumberFormat="1" applyFont="1" applyFill="1" applyBorder="1" applyAlignment="1">
      <alignment horizontal="right" vertical="center"/>
    </xf>
    <xf numFmtId="1" fontId="3" fillId="3" borderId="3" xfId="0" applyNumberFormat="1" applyFont="1" applyFill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7" fillId="0" borderId="14" xfId="0" applyNumberFormat="1" applyFont="1" applyBorder="1" applyAlignment="1">
      <alignment horizontal="left" vertical="center"/>
    </xf>
    <xf numFmtId="1" fontId="7" fillId="0" borderId="15" xfId="0" applyNumberFormat="1" applyFont="1" applyBorder="1" applyAlignment="1">
      <alignment horizontal="left" vertical="center"/>
    </xf>
    <xf numFmtId="1" fontId="7" fillId="7" borderId="13" xfId="0" applyNumberFormat="1" applyFont="1" applyFill="1" applyBorder="1" applyAlignment="1">
      <alignment vertical="center" wrapText="1"/>
    </xf>
    <xf numFmtId="1" fontId="7" fillId="0" borderId="25" xfId="0" applyNumberFormat="1" applyFont="1" applyFill="1" applyBorder="1" applyAlignment="1">
      <alignment horizontal="right" vertical="center"/>
    </xf>
    <xf numFmtId="1" fontId="7" fillId="7" borderId="13" xfId="0" applyNumberFormat="1" applyFont="1" applyFill="1" applyBorder="1" applyAlignment="1">
      <alignment horizontal="right" vertical="center" wrapText="1"/>
    </xf>
    <xf numFmtId="1" fontId="7" fillId="0" borderId="14" xfId="0" applyNumberFormat="1" applyFont="1" applyBorder="1" applyAlignment="1">
      <alignment horizontal="right" vertical="center"/>
    </xf>
    <xf numFmtId="1" fontId="7" fillId="7" borderId="25" xfId="0" applyNumberFormat="1" applyFont="1" applyFill="1" applyBorder="1" applyAlignment="1">
      <alignment horizontal="right" vertical="center"/>
    </xf>
    <xf numFmtId="1" fontId="7" fillId="0" borderId="15" xfId="0" applyNumberFormat="1" applyFont="1" applyFill="1" applyBorder="1" applyAlignment="1">
      <alignment horizontal="right" vertical="center"/>
    </xf>
    <xf numFmtId="1" fontId="7" fillId="7" borderId="13" xfId="0" applyNumberFormat="1" applyFont="1" applyFill="1" applyBorder="1" applyAlignment="1">
      <alignment horizontal="right" vertical="center"/>
    </xf>
    <xf numFmtId="1" fontId="12" fillId="0" borderId="25" xfId="0" applyNumberFormat="1" applyFont="1" applyFill="1" applyBorder="1" applyAlignment="1">
      <alignment horizontal="right" vertical="center"/>
    </xf>
    <xf numFmtId="1" fontId="7" fillId="7" borderId="14" xfId="0" applyNumberFormat="1" applyFont="1" applyFill="1" applyBorder="1" applyAlignment="1">
      <alignment horizontal="right" vertical="center"/>
    </xf>
    <xf numFmtId="1" fontId="7" fillId="0" borderId="25" xfId="0" applyNumberFormat="1" applyFont="1" applyBorder="1" applyAlignment="1">
      <alignment horizontal="right" vertical="center"/>
    </xf>
    <xf numFmtId="1" fontId="7" fillId="3" borderId="25" xfId="0" applyNumberFormat="1" applyFont="1" applyFill="1" applyBorder="1" applyAlignment="1">
      <alignment horizontal="right" vertical="center"/>
    </xf>
    <xf numFmtId="1" fontId="7" fillId="0" borderId="14" xfId="0" applyNumberFormat="1" applyFont="1" applyFill="1" applyBorder="1" applyAlignment="1">
      <alignment horizontal="right" vertical="center"/>
    </xf>
    <xf numFmtId="1" fontId="7" fillId="3" borderId="14" xfId="0" applyNumberFormat="1" applyFont="1" applyFill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 vertical="center"/>
    </xf>
    <xf numFmtId="1" fontId="7" fillId="7" borderId="28" xfId="0" applyNumberFormat="1" applyFont="1" applyFill="1" applyBorder="1" applyAlignment="1">
      <alignment horizontal="right" vertical="center"/>
    </xf>
    <xf numFmtId="1" fontId="12" fillId="0" borderId="26" xfId="0" applyNumberFormat="1" applyFont="1" applyBorder="1" applyAlignment="1">
      <alignment horizontal="right" vertical="center"/>
    </xf>
    <xf numFmtId="1" fontId="8" fillId="6" borderId="29" xfId="0" applyNumberFormat="1" applyFont="1" applyFill="1" applyBorder="1" applyAlignment="1">
      <alignment vertical="center" wrapText="1"/>
    </xf>
    <xf numFmtId="1" fontId="8" fillId="6" borderId="16" xfId="0" applyNumberFormat="1" applyFont="1" applyFill="1" applyBorder="1" applyAlignment="1">
      <alignment horizontal="left" vertical="center" wrapText="1"/>
    </xf>
    <xf numFmtId="1" fontId="8" fillId="6" borderId="19" xfId="0" applyNumberFormat="1" applyFont="1" applyFill="1" applyBorder="1" applyAlignment="1">
      <alignment horizontal="left" vertical="center" wrapText="1"/>
    </xf>
    <xf numFmtId="1" fontId="8" fillId="6" borderId="23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left"/>
    </xf>
    <xf numFmtId="1" fontId="12" fillId="0" borderId="15" xfId="0" applyNumberFormat="1" applyFont="1" applyBorder="1"/>
    <xf numFmtId="1" fontId="12" fillId="7" borderId="13" xfId="0" applyNumberFormat="1" applyFont="1" applyFill="1" applyBorder="1" applyAlignment="1">
      <alignment horizontal="right" vertical="center"/>
    </xf>
    <xf numFmtId="1" fontId="7" fillId="6" borderId="14" xfId="0" applyNumberFormat="1" applyFont="1" applyFill="1" applyBorder="1" applyAlignment="1">
      <alignment horizontal="right" vertical="center"/>
    </xf>
    <xf numFmtId="1" fontId="7" fillId="3" borderId="18" xfId="0" applyNumberFormat="1" applyFont="1" applyFill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"/>
  <sheetViews>
    <sheetView tabSelected="1" topLeftCell="D7" zoomScale="90" zoomScaleNormal="90" workbookViewId="0">
      <selection activeCell="U13" sqref="U13"/>
    </sheetView>
  </sheetViews>
  <sheetFormatPr defaultRowHeight="12" x14ac:dyDescent="0.2"/>
  <cols>
    <col min="1" max="1" width="24" customWidth="1"/>
    <col min="2" max="2" width="15.42578125" customWidth="1"/>
    <col min="3" max="3" width="43.85546875" customWidth="1"/>
    <col min="4" max="4" width="12.85546875" customWidth="1"/>
    <col min="5" max="5" width="15.28515625" customWidth="1"/>
    <col min="6" max="6" width="13.85546875" style="3" bestFit="1" customWidth="1"/>
    <col min="7" max="7" width="12.140625" customWidth="1"/>
    <col min="8" max="8" width="12.42578125" customWidth="1"/>
    <col min="9" max="9" width="11.28515625" customWidth="1"/>
    <col min="10" max="10" width="13.140625" customWidth="1"/>
    <col min="11" max="11" width="11.7109375" customWidth="1"/>
    <col min="12" max="12" width="13.140625" customWidth="1"/>
    <col min="13" max="13" width="11.5703125" customWidth="1"/>
    <col min="14" max="16" width="11.28515625" customWidth="1"/>
    <col min="17" max="17" width="9.140625" customWidth="1"/>
    <col min="19" max="19" width="12.28515625" customWidth="1"/>
    <col min="20" max="21" width="11.28515625" customWidth="1"/>
    <col min="22" max="22" width="13.28515625" bestFit="1" customWidth="1"/>
    <col min="23" max="23" width="15" customWidth="1"/>
    <col min="24" max="24" width="13.5703125" customWidth="1"/>
    <col min="25" max="25" width="10.5703125" customWidth="1"/>
    <col min="26" max="26" width="10.7109375" customWidth="1"/>
  </cols>
  <sheetData>
    <row r="1" spans="1:27" ht="28.5" customHeight="1" x14ac:dyDescent="0.25">
      <c r="A1" s="1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2"/>
      <c r="P1" s="1"/>
      <c r="Q1" s="1"/>
      <c r="R1" s="1"/>
      <c r="S1" s="18"/>
      <c r="T1" s="18"/>
      <c r="U1" s="18"/>
      <c r="V1" s="18"/>
      <c r="W1" s="18"/>
      <c r="X1" s="18"/>
      <c r="Y1" s="18"/>
      <c r="Z1" s="18"/>
      <c r="AA1" s="6"/>
    </row>
    <row r="2" spans="1:27" ht="26.25" customHeight="1" x14ac:dyDescent="0.25">
      <c r="A2" s="12" t="s">
        <v>34</v>
      </c>
      <c r="B2" s="10"/>
      <c r="C2" s="10"/>
      <c r="D2" s="13" t="s">
        <v>33</v>
      </c>
      <c r="E2" s="14"/>
      <c r="F2" s="15" t="s">
        <v>22</v>
      </c>
      <c r="G2" s="16"/>
      <c r="H2" s="16"/>
      <c r="I2" s="16"/>
      <c r="J2" s="17"/>
      <c r="K2" s="13" t="s">
        <v>23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21"/>
      <c r="W2" s="15" t="s">
        <v>27</v>
      </c>
      <c r="X2" s="17"/>
      <c r="Y2" s="19" t="s">
        <v>26</v>
      </c>
      <c r="Z2" s="20"/>
      <c r="AA2" s="6"/>
    </row>
    <row r="3" spans="1:27" s="30" customFormat="1" ht="48" customHeight="1" x14ac:dyDescent="0.2">
      <c r="A3" s="22" t="s">
        <v>0</v>
      </c>
      <c r="B3" s="22" t="s">
        <v>1</v>
      </c>
      <c r="C3" s="23" t="s">
        <v>21</v>
      </c>
      <c r="D3" s="24" t="s">
        <v>47</v>
      </c>
      <c r="E3" s="22" t="s">
        <v>48</v>
      </c>
      <c r="F3" s="25" t="s">
        <v>29</v>
      </c>
      <c r="G3" s="22" t="s">
        <v>30</v>
      </c>
      <c r="H3" s="26" t="s">
        <v>28</v>
      </c>
      <c r="I3" s="22" t="s">
        <v>31</v>
      </c>
      <c r="J3" s="27" t="s">
        <v>32</v>
      </c>
      <c r="K3" s="28" t="s">
        <v>2</v>
      </c>
      <c r="L3" s="22" t="s">
        <v>2</v>
      </c>
      <c r="M3" s="26" t="s">
        <v>3</v>
      </c>
      <c r="N3" s="22" t="s">
        <v>4</v>
      </c>
      <c r="O3" s="22" t="s">
        <v>3</v>
      </c>
      <c r="P3" s="26" t="s">
        <v>5</v>
      </c>
      <c r="Q3" s="22" t="s">
        <v>6</v>
      </c>
      <c r="R3" s="22" t="s">
        <v>5</v>
      </c>
      <c r="S3" s="22" t="s">
        <v>7</v>
      </c>
      <c r="T3" s="26" t="s">
        <v>8</v>
      </c>
      <c r="U3" s="22" t="s">
        <v>25</v>
      </c>
      <c r="V3" s="27" t="s">
        <v>8</v>
      </c>
      <c r="W3" s="28" t="s">
        <v>9</v>
      </c>
      <c r="X3" s="27" t="s">
        <v>10</v>
      </c>
      <c r="Y3" s="24" t="s">
        <v>11</v>
      </c>
      <c r="Z3" s="27" t="s">
        <v>11</v>
      </c>
      <c r="AA3" s="29"/>
    </row>
    <row r="4" spans="1:27" ht="102" customHeight="1" x14ac:dyDescent="0.2">
      <c r="A4" s="31" t="s">
        <v>38</v>
      </c>
      <c r="B4" s="32" t="s">
        <v>12</v>
      </c>
      <c r="C4" s="33" t="s">
        <v>43</v>
      </c>
      <c r="D4" s="34">
        <v>50</v>
      </c>
      <c r="E4" s="35">
        <v>0</v>
      </c>
      <c r="F4" s="36">
        <v>20</v>
      </c>
      <c r="G4" s="35">
        <f>I4/I9*100</f>
        <v>21.041047650489713</v>
      </c>
      <c r="H4" s="37">
        <f>0.2*9000</f>
        <v>1800</v>
      </c>
      <c r="I4" s="35">
        <v>1912</v>
      </c>
      <c r="J4" s="38">
        <f>I4/4.18</f>
        <v>457.41626794258377</v>
      </c>
      <c r="K4" s="39"/>
      <c r="L4" s="35">
        <v>50</v>
      </c>
      <c r="M4" s="40"/>
      <c r="N4" s="35">
        <v>13.5</v>
      </c>
      <c r="O4" s="35">
        <f t="shared" ref="O4:O9" si="0">(N4*37)/I4*100</f>
        <v>26.124476987447697</v>
      </c>
      <c r="P4" s="40"/>
      <c r="Q4" s="41">
        <v>22.6</v>
      </c>
      <c r="R4" s="35">
        <v>20</v>
      </c>
      <c r="S4" s="35">
        <v>30</v>
      </c>
      <c r="T4" s="37"/>
      <c r="U4" s="42">
        <v>5</v>
      </c>
      <c r="V4" s="38">
        <f>(5*17)/I4*100</f>
        <v>4.4456066945606691</v>
      </c>
      <c r="W4" s="43"/>
      <c r="X4" s="44">
        <v>1.2</v>
      </c>
      <c r="Y4" s="39"/>
      <c r="Z4" s="45">
        <v>0</v>
      </c>
      <c r="AA4" s="6"/>
    </row>
    <row r="5" spans="1:27" ht="60" customHeight="1" x14ac:dyDescent="0.2">
      <c r="A5" s="46"/>
      <c r="B5" s="32" t="s">
        <v>13</v>
      </c>
      <c r="C5" s="33" t="s">
        <v>36</v>
      </c>
      <c r="D5" s="34">
        <v>100</v>
      </c>
      <c r="E5" s="45">
        <v>33</v>
      </c>
      <c r="F5" s="36">
        <v>15</v>
      </c>
      <c r="G5" s="35">
        <f>I5/I9*100</f>
        <v>9.585121602288984</v>
      </c>
      <c r="H5" s="37">
        <f>0.15*9000</f>
        <v>1350</v>
      </c>
      <c r="I5" s="35">
        <v>871</v>
      </c>
      <c r="J5" s="38">
        <f>I5/4.18</f>
        <v>208.3732057416268</v>
      </c>
      <c r="K5" s="39"/>
      <c r="L5" s="35">
        <v>26</v>
      </c>
      <c r="M5" s="40"/>
      <c r="N5" s="35">
        <v>2.7</v>
      </c>
      <c r="O5" s="35">
        <f t="shared" si="0"/>
        <v>11.469575200918484</v>
      </c>
      <c r="P5" s="37"/>
      <c r="Q5" s="41">
        <v>3.8</v>
      </c>
      <c r="R5" s="35">
        <v>7</v>
      </c>
      <c r="S5" s="35">
        <v>66</v>
      </c>
      <c r="T5" s="47"/>
      <c r="U5" s="48">
        <v>10</v>
      </c>
      <c r="V5" s="38">
        <f>(10*17)/I5*100</f>
        <v>19.517795637198624</v>
      </c>
      <c r="W5" s="43"/>
      <c r="X5" s="38">
        <v>1.8</v>
      </c>
      <c r="Y5" s="49"/>
      <c r="Z5" s="45">
        <v>0</v>
      </c>
      <c r="AA5" s="6"/>
    </row>
    <row r="6" spans="1:27" ht="112.5" customHeight="1" x14ac:dyDescent="0.2">
      <c r="A6" s="46"/>
      <c r="B6" s="32" t="s">
        <v>14</v>
      </c>
      <c r="C6" s="33" t="s">
        <v>35</v>
      </c>
      <c r="D6" s="50">
        <v>150</v>
      </c>
      <c r="E6" s="35">
        <v>23</v>
      </c>
      <c r="F6" s="36">
        <v>25</v>
      </c>
      <c r="G6" s="35">
        <f>I6/I9*100</f>
        <v>26.026191262242765</v>
      </c>
      <c r="H6" s="37">
        <f>0.25*9000</f>
        <v>2250</v>
      </c>
      <c r="I6" s="35">
        <v>2365</v>
      </c>
      <c r="J6" s="38">
        <f t="shared" ref="J6:J8" si="1">I6/4.18</f>
        <v>565.78947368421052</v>
      </c>
      <c r="K6" s="39"/>
      <c r="L6" s="35">
        <v>37</v>
      </c>
      <c r="M6" s="51"/>
      <c r="N6" s="35">
        <v>11.4</v>
      </c>
      <c r="O6" s="35">
        <f t="shared" si="0"/>
        <v>17.835095137420719</v>
      </c>
      <c r="P6" s="40"/>
      <c r="Q6" s="41">
        <v>22</v>
      </c>
      <c r="R6" s="35">
        <v>16</v>
      </c>
      <c r="S6" s="35">
        <v>47</v>
      </c>
      <c r="T6" s="37"/>
      <c r="U6" s="42">
        <v>16.399999999999999</v>
      </c>
      <c r="V6" s="38">
        <f>(16.4*17)/I6*100</f>
        <v>11.788583509513741</v>
      </c>
      <c r="W6" s="39"/>
      <c r="X6" s="38">
        <v>8</v>
      </c>
      <c r="Y6" s="39"/>
      <c r="Z6" s="45">
        <v>0</v>
      </c>
      <c r="AA6" s="6"/>
    </row>
    <row r="7" spans="1:27" ht="48.75" customHeight="1" x14ac:dyDescent="0.2">
      <c r="A7" s="46"/>
      <c r="B7" s="52" t="s">
        <v>13</v>
      </c>
      <c r="C7" s="53" t="s">
        <v>37</v>
      </c>
      <c r="D7" s="34">
        <v>100</v>
      </c>
      <c r="E7" s="35">
        <v>42</v>
      </c>
      <c r="F7" s="36">
        <v>10</v>
      </c>
      <c r="G7" s="35">
        <f>I7/I9*100</f>
        <v>13.95400022009464</v>
      </c>
      <c r="H7" s="54">
        <f>0.1*9000</f>
        <v>900</v>
      </c>
      <c r="I7" s="55">
        <v>1268</v>
      </c>
      <c r="J7" s="38">
        <f t="shared" si="1"/>
        <v>303.34928229665076</v>
      </c>
      <c r="K7" s="39"/>
      <c r="L7" s="35">
        <v>54</v>
      </c>
      <c r="M7" s="40"/>
      <c r="N7" s="55">
        <v>10.9</v>
      </c>
      <c r="O7" s="55">
        <f t="shared" si="0"/>
        <v>31.805993690851736</v>
      </c>
      <c r="P7" s="37"/>
      <c r="Q7" s="41">
        <v>3.5</v>
      </c>
      <c r="R7" s="35">
        <v>5</v>
      </c>
      <c r="S7" s="55">
        <v>41</v>
      </c>
      <c r="T7" s="37"/>
      <c r="U7" s="56">
        <v>10.9</v>
      </c>
      <c r="V7" s="57">
        <f>(U7*17)/I7*100</f>
        <v>14.613564668769715</v>
      </c>
      <c r="W7" s="39"/>
      <c r="X7" s="38">
        <v>2.4</v>
      </c>
      <c r="Y7" s="58"/>
      <c r="Z7" s="59">
        <v>0</v>
      </c>
      <c r="AA7" s="6"/>
    </row>
    <row r="8" spans="1:27" ht="78" customHeight="1" x14ac:dyDescent="0.2">
      <c r="A8" s="46"/>
      <c r="B8" s="60" t="s">
        <v>15</v>
      </c>
      <c r="C8" s="61" t="s">
        <v>39</v>
      </c>
      <c r="D8" s="34">
        <v>200</v>
      </c>
      <c r="E8" s="62">
        <v>106</v>
      </c>
      <c r="F8" s="36">
        <v>30</v>
      </c>
      <c r="G8" s="63">
        <f>I8/I9*100</f>
        <v>29.393639264883898</v>
      </c>
      <c r="H8" s="64">
        <f>0.3*9000</f>
        <v>2700</v>
      </c>
      <c r="I8" s="65">
        <v>2671</v>
      </c>
      <c r="J8" s="66">
        <f t="shared" si="1"/>
        <v>638.99521531100481</v>
      </c>
      <c r="K8" s="67"/>
      <c r="L8" s="65">
        <v>24</v>
      </c>
      <c r="M8" s="40"/>
      <c r="N8" s="68">
        <v>6.4</v>
      </c>
      <c r="O8" s="65">
        <f t="shared" si="0"/>
        <v>8.8655934107076</v>
      </c>
      <c r="P8" s="40"/>
      <c r="Q8" s="69">
        <v>32.200000000000003</v>
      </c>
      <c r="R8" s="63">
        <v>21</v>
      </c>
      <c r="S8" s="65">
        <v>35</v>
      </c>
      <c r="T8" s="70"/>
      <c r="U8" s="71">
        <v>4.0999999999999996</v>
      </c>
      <c r="V8" s="72">
        <f>(4.1*17)/I8*100</f>
        <v>2.6095095469861471</v>
      </c>
      <c r="W8" s="49"/>
      <c r="X8" s="66">
        <v>4.5999999999999996</v>
      </c>
      <c r="Y8" s="49"/>
      <c r="Z8" s="73">
        <v>21</v>
      </c>
      <c r="AA8" s="6"/>
    </row>
    <row r="9" spans="1:27" ht="12.75" thickBot="1" x14ac:dyDescent="0.25">
      <c r="A9" s="46"/>
      <c r="B9" s="74" t="s">
        <v>16</v>
      </c>
      <c r="C9" s="75"/>
      <c r="D9" s="76">
        <f t="shared" ref="D9" si="2">SUM(D4:D8)</f>
        <v>600</v>
      </c>
      <c r="E9" s="77">
        <f>SUM(E4:E8)</f>
        <v>204</v>
      </c>
      <c r="F9" s="78">
        <v>100</v>
      </c>
      <c r="G9" s="79">
        <f>SUM(G4:G8)</f>
        <v>100</v>
      </c>
      <c r="H9" s="80">
        <f>SUM(H4:H8)</f>
        <v>9000</v>
      </c>
      <c r="I9" s="77">
        <f>SUM(I4:I8)</f>
        <v>9087</v>
      </c>
      <c r="J9" s="81">
        <f>SUM(J4:J8)</f>
        <v>2173.923444976077</v>
      </c>
      <c r="K9" s="82" t="s">
        <v>46</v>
      </c>
      <c r="L9" s="83">
        <v>37</v>
      </c>
      <c r="M9" s="84" t="s">
        <v>17</v>
      </c>
      <c r="N9" s="79">
        <v>44.9</v>
      </c>
      <c r="O9" s="85">
        <f t="shared" si="0"/>
        <v>18.282161329371629</v>
      </c>
      <c r="P9" s="84" t="s">
        <v>18</v>
      </c>
      <c r="Q9" s="86">
        <v>84.1</v>
      </c>
      <c r="R9" s="87">
        <v>16</v>
      </c>
      <c r="S9" s="77">
        <v>41</v>
      </c>
      <c r="T9" s="84" t="s">
        <v>19</v>
      </c>
      <c r="U9" s="88">
        <v>46.4</v>
      </c>
      <c r="V9" s="89">
        <f>(46.4*17)/I9*100</f>
        <v>8.6805326290304823</v>
      </c>
      <c r="W9" s="82" t="s">
        <v>20</v>
      </c>
      <c r="X9" s="81">
        <v>18</v>
      </c>
      <c r="Y9" s="90"/>
      <c r="Z9" s="91">
        <v>6</v>
      </c>
      <c r="AA9" s="6"/>
    </row>
    <row r="10" spans="1:27" s="4" customFormat="1" ht="55.5" customHeight="1" x14ac:dyDescent="0.2">
      <c r="A10" s="92" t="s">
        <v>0</v>
      </c>
      <c r="B10" s="26" t="s">
        <v>1</v>
      </c>
      <c r="C10" s="93" t="s">
        <v>21</v>
      </c>
      <c r="D10" s="28" t="s">
        <v>47</v>
      </c>
      <c r="E10" s="22" t="s">
        <v>48</v>
      </c>
      <c r="F10" s="28" t="s">
        <v>29</v>
      </c>
      <c r="G10" s="26" t="s">
        <v>30</v>
      </c>
      <c r="H10" s="26" t="s">
        <v>28</v>
      </c>
      <c r="I10" s="22" t="s">
        <v>31</v>
      </c>
      <c r="J10" s="27" t="s">
        <v>32</v>
      </c>
      <c r="K10" s="28" t="s">
        <v>2</v>
      </c>
      <c r="L10" s="26" t="s">
        <v>2</v>
      </c>
      <c r="M10" s="26" t="s">
        <v>3</v>
      </c>
      <c r="N10" s="26" t="s">
        <v>4</v>
      </c>
      <c r="O10" s="26" t="s">
        <v>3</v>
      </c>
      <c r="P10" s="26" t="s">
        <v>5</v>
      </c>
      <c r="Q10" s="26" t="s">
        <v>6</v>
      </c>
      <c r="R10" s="26" t="s">
        <v>5</v>
      </c>
      <c r="S10" s="26" t="s">
        <v>7</v>
      </c>
      <c r="T10" s="26" t="s">
        <v>8</v>
      </c>
      <c r="U10" s="26" t="s">
        <v>25</v>
      </c>
      <c r="V10" s="94" t="s">
        <v>8</v>
      </c>
      <c r="W10" s="28" t="s">
        <v>9</v>
      </c>
      <c r="X10" s="94" t="s">
        <v>10</v>
      </c>
      <c r="Y10" s="28" t="s">
        <v>11</v>
      </c>
      <c r="Z10" s="95" t="s">
        <v>11</v>
      </c>
      <c r="AA10" s="7"/>
    </row>
    <row r="11" spans="1:27" ht="99.75" customHeight="1" x14ac:dyDescent="0.2">
      <c r="A11" s="31" t="s">
        <v>45</v>
      </c>
      <c r="B11" s="96" t="s">
        <v>12</v>
      </c>
      <c r="C11" s="33" t="s">
        <v>42</v>
      </c>
      <c r="D11" s="34">
        <v>50</v>
      </c>
      <c r="E11" s="35">
        <v>140</v>
      </c>
      <c r="F11" s="36">
        <v>20</v>
      </c>
      <c r="G11" s="35">
        <f>I11/I16*100</f>
        <v>17.255510023258388</v>
      </c>
      <c r="H11" s="37">
        <f>0.2*H16</f>
        <v>1800</v>
      </c>
      <c r="I11" s="35">
        <v>1558</v>
      </c>
      <c r="J11" s="38">
        <f t="shared" ref="J11:J16" si="3">I11/4.18</f>
        <v>372.72727272727275</v>
      </c>
      <c r="K11" s="39"/>
      <c r="L11" s="35">
        <v>27</v>
      </c>
      <c r="M11" s="40" t="s">
        <v>49</v>
      </c>
      <c r="N11" s="35">
        <v>4.5</v>
      </c>
      <c r="O11" s="35">
        <f t="shared" ref="O11:O16" si="4">(N11*37)/I11*100</f>
        <v>10.686777920410782</v>
      </c>
      <c r="P11" s="40"/>
      <c r="Q11" s="41">
        <v>20.8</v>
      </c>
      <c r="R11" s="35">
        <v>23</v>
      </c>
      <c r="S11" s="35">
        <v>51</v>
      </c>
      <c r="T11" s="37"/>
      <c r="U11" s="42">
        <v>5</v>
      </c>
      <c r="V11" s="38">
        <f>(5*17)/I11*100</f>
        <v>5.4557124518613609</v>
      </c>
      <c r="W11" s="39"/>
      <c r="X11" s="38">
        <v>4.8</v>
      </c>
      <c r="Y11" s="39"/>
      <c r="Z11" s="38">
        <v>0</v>
      </c>
      <c r="AA11" s="8"/>
    </row>
    <row r="12" spans="1:27" ht="60" customHeight="1" x14ac:dyDescent="0.2">
      <c r="A12" s="46"/>
      <c r="B12" s="96" t="s">
        <v>13</v>
      </c>
      <c r="C12" s="33" t="s">
        <v>40</v>
      </c>
      <c r="D12" s="34">
        <v>100</v>
      </c>
      <c r="E12" s="45">
        <v>122</v>
      </c>
      <c r="F12" s="36">
        <v>15</v>
      </c>
      <c r="G12" s="35">
        <f>I12/I16*100</f>
        <v>12.769963451102004</v>
      </c>
      <c r="H12" s="37">
        <f>0.15*H16</f>
        <v>1350</v>
      </c>
      <c r="I12" s="35">
        <v>1153</v>
      </c>
      <c r="J12" s="38">
        <f t="shared" si="3"/>
        <v>275.83732057416267</v>
      </c>
      <c r="K12" s="39"/>
      <c r="L12" s="35">
        <v>28</v>
      </c>
      <c r="M12" s="40" t="s">
        <v>17</v>
      </c>
      <c r="N12" s="35">
        <v>5.0999999999999996</v>
      </c>
      <c r="O12" s="35">
        <f t="shared" si="4"/>
        <v>16.366001734605376</v>
      </c>
      <c r="P12" s="37"/>
      <c r="Q12" s="41">
        <v>6.3</v>
      </c>
      <c r="R12" s="35">
        <v>9</v>
      </c>
      <c r="S12" s="35">
        <v>63</v>
      </c>
      <c r="T12" s="37"/>
      <c r="U12" s="42">
        <v>0</v>
      </c>
      <c r="V12" s="38">
        <f>(0*17)/I12*100</f>
        <v>0</v>
      </c>
      <c r="W12" s="39"/>
      <c r="X12" s="38">
        <v>5.7</v>
      </c>
      <c r="Y12" s="39"/>
      <c r="Z12" s="38">
        <v>0</v>
      </c>
      <c r="AA12" s="8"/>
    </row>
    <row r="13" spans="1:27" ht="123" customHeight="1" x14ac:dyDescent="0.2">
      <c r="A13" s="46"/>
      <c r="B13" s="96" t="s">
        <v>14</v>
      </c>
      <c r="C13" s="97" t="s">
        <v>50</v>
      </c>
      <c r="D13" s="50">
        <v>150</v>
      </c>
      <c r="E13" s="35">
        <v>120</v>
      </c>
      <c r="F13" s="36">
        <v>25</v>
      </c>
      <c r="G13" s="35">
        <f>I13/I16*100</f>
        <v>25.407021818584564</v>
      </c>
      <c r="H13" s="37">
        <f>0.25*H16</f>
        <v>2250</v>
      </c>
      <c r="I13" s="35">
        <v>2294</v>
      </c>
      <c r="J13" s="73">
        <f t="shared" si="3"/>
        <v>548.8038277511962</v>
      </c>
      <c r="K13" s="39"/>
      <c r="L13" s="35">
        <v>25</v>
      </c>
      <c r="M13" s="51" t="s">
        <v>49</v>
      </c>
      <c r="N13" s="35">
        <v>4.0999999999999996</v>
      </c>
      <c r="O13" s="35">
        <f t="shared" si="4"/>
        <v>6.6129032258064502</v>
      </c>
      <c r="P13" s="40"/>
      <c r="Q13" s="41">
        <v>34.4</v>
      </c>
      <c r="R13" s="35">
        <v>26</v>
      </c>
      <c r="S13" s="35">
        <v>50</v>
      </c>
      <c r="T13" s="37"/>
      <c r="U13" s="42">
        <v>1.5</v>
      </c>
      <c r="V13" s="38">
        <f>(1.5*17)/I13*100</f>
        <v>1.1115954664341761</v>
      </c>
      <c r="W13" s="39"/>
      <c r="X13" s="38">
        <v>10.199999999999999</v>
      </c>
      <c r="Y13" s="39"/>
      <c r="Z13" s="38">
        <v>0</v>
      </c>
      <c r="AA13" s="8"/>
    </row>
    <row r="14" spans="1:27" ht="72" customHeight="1" x14ac:dyDescent="0.2">
      <c r="A14" s="46"/>
      <c r="B14" s="96" t="s">
        <v>13</v>
      </c>
      <c r="C14" s="33" t="s">
        <v>41</v>
      </c>
      <c r="D14" s="34">
        <v>100</v>
      </c>
      <c r="E14" s="35">
        <v>105</v>
      </c>
      <c r="F14" s="36">
        <v>10</v>
      </c>
      <c r="G14" s="35">
        <f>I14/I16*100</f>
        <v>18.484882046738289</v>
      </c>
      <c r="H14" s="37">
        <f>0.1*H16</f>
        <v>900</v>
      </c>
      <c r="I14" s="35">
        <v>1669</v>
      </c>
      <c r="J14" s="38">
        <f t="shared" si="3"/>
        <v>399.28229665071774</v>
      </c>
      <c r="K14" s="39"/>
      <c r="L14" s="35">
        <v>36</v>
      </c>
      <c r="M14" s="40" t="s">
        <v>17</v>
      </c>
      <c r="N14" s="35">
        <v>4.5</v>
      </c>
      <c r="O14" s="35">
        <f t="shared" si="4"/>
        <v>9.9760335530257631</v>
      </c>
      <c r="P14" s="37"/>
      <c r="Q14" s="41">
        <v>6.5</v>
      </c>
      <c r="R14" s="35">
        <v>7</v>
      </c>
      <c r="S14" s="35">
        <v>57</v>
      </c>
      <c r="T14" s="37"/>
      <c r="U14" s="42">
        <v>15.2</v>
      </c>
      <c r="V14" s="38">
        <f>(15.2*17)/I14*100</f>
        <v>15.482324745356498</v>
      </c>
      <c r="W14" s="39"/>
      <c r="X14" s="38">
        <v>9</v>
      </c>
      <c r="Y14" s="39"/>
      <c r="Z14" s="45">
        <v>0</v>
      </c>
      <c r="AA14" s="6"/>
    </row>
    <row r="15" spans="1:27" ht="62.25" customHeight="1" x14ac:dyDescent="0.2">
      <c r="A15" s="46"/>
      <c r="B15" s="96" t="s">
        <v>15</v>
      </c>
      <c r="C15" s="33" t="s">
        <v>44</v>
      </c>
      <c r="D15" s="34">
        <v>200</v>
      </c>
      <c r="E15" s="35">
        <v>185</v>
      </c>
      <c r="F15" s="36">
        <v>30</v>
      </c>
      <c r="G15" s="35">
        <f>I15/I16*100</f>
        <v>26.082622660316758</v>
      </c>
      <c r="H15" s="37">
        <f>0.3*H16</f>
        <v>2700</v>
      </c>
      <c r="I15" s="35">
        <v>2355</v>
      </c>
      <c r="J15" s="38">
        <f t="shared" si="3"/>
        <v>563.39712918660291</v>
      </c>
      <c r="K15" s="39"/>
      <c r="L15" s="35">
        <v>27</v>
      </c>
      <c r="M15" s="40" t="s">
        <v>49</v>
      </c>
      <c r="N15" s="35">
        <v>5.5</v>
      </c>
      <c r="O15" s="35">
        <f t="shared" si="4"/>
        <v>8.6411889596602975</v>
      </c>
      <c r="P15" s="40"/>
      <c r="Q15" s="41">
        <v>34.4</v>
      </c>
      <c r="R15" s="35">
        <v>25</v>
      </c>
      <c r="S15" s="35">
        <v>36</v>
      </c>
      <c r="T15" s="37"/>
      <c r="U15" s="42">
        <v>6</v>
      </c>
      <c r="V15" s="38">
        <f>(6*17)/I15*100</f>
        <v>4.3312101910828025</v>
      </c>
      <c r="W15" s="39"/>
      <c r="X15" s="38">
        <v>4.8</v>
      </c>
      <c r="Y15" s="39"/>
      <c r="Z15" s="45">
        <v>12</v>
      </c>
      <c r="AA15" s="6"/>
    </row>
    <row r="16" spans="1:27" ht="12.75" thickBot="1" x14ac:dyDescent="0.25">
      <c r="A16" s="98"/>
      <c r="B16" s="99" t="s">
        <v>16</v>
      </c>
      <c r="C16" s="100"/>
      <c r="D16" s="76">
        <f t="shared" ref="D16" si="5">SUM(D11:D15)</f>
        <v>600</v>
      </c>
      <c r="E16" s="87">
        <f>SUM(E11:E15)</f>
        <v>672</v>
      </c>
      <c r="F16" s="78">
        <v>100</v>
      </c>
      <c r="G16" s="79">
        <f>SUM(G11:G15)</f>
        <v>100</v>
      </c>
      <c r="H16" s="84">
        <v>9000</v>
      </c>
      <c r="I16" s="87">
        <f>SUM(I11:I15)</f>
        <v>9029</v>
      </c>
      <c r="J16" s="81">
        <f t="shared" si="3"/>
        <v>2160.0478468899523</v>
      </c>
      <c r="K16" s="101" t="s">
        <v>46</v>
      </c>
      <c r="L16" s="87">
        <v>28</v>
      </c>
      <c r="M16" s="84" t="s">
        <v>17</v>
      </c>
      <c r="N16" s="79">
        <v>23.6</v>
      </c>
      <c r="O16" s="79">
        <v>10</v>
      </c>
      <c r="P16" s="102" t="s">
        <v>18</v>
      </c>
      <c r="Q16" s="88">
        <v>102.4</v>
      </c>
      <c r="R16" s="87">
        <v>19</v>
      </c>
      <c r="S16" s="87">
        <v>49</v>
      </c>
      <c r="T16" s="84" t="s">
        <v>19</v>
      </c>
      <c r="U16" s="103">
        <v>27.7</v>
      </c>
      <c r="V16" s="89">
        <f>(27.7*17)/I16*100</f>
        <v>5.2154169896998557</v>
      </c>
      <c r="W16" s="82" t="s">
        <v>20</v>
      </c>
      <c r="X16" s="81">
        <v>34.6</v>
      </c>
      <c r="Y16" s="82"/>
      <c r="Z16" s="104">
        <v>3</v>
      </c>
      <c r="AA16" s="6"/>
    </row>
    <row r="17" spans="2:21" x14ac:dyDescent="0.2">
      <c r="B17" s="9"/>
      <c r="F17"/>
      <c r="U17" s="5"/>
    </row>
    <row r="18" spans="2:21" x14ac:dyDescent="0.2">
      <c r="F18"/>
    </row>
    <row r="19" spans="2:21" x14ac:dyDescent="0.2">
      <c r="F19"/>
    </row>
    <row r="20" spans="2:21" x14ac:dyDescent="0.2">
      <c r="F20"/>
    </row>
    <row r="21" spans="2:21" x14ac:dyDescent="0.2">
      <c r="F21"/>
    </row>
    <row r="22" spans="2:21" x14ac:dyDescent="0.2">
      <c r="F22"/>
    </row>
    <row r="23" spans="2:21" x14ac:dyDescent="0.2">
      <c r="F23"/>
    </row>
    <row r="24" spans="2:21" x14ac:dyDescent="0.2">
      <c r="F24"/>
    </row>
    <row r="25" spans="2:21" x14ac:dyDescent="0.2">
      <c r="F25"/>
    </row>
    <row r="26" spans="2:21" x14ac:dyDescent="0.2">
      <c r="F26"/>
    </row>
    <row r="27" spans="2:21" x14ac:dyDescent="0.2">
      <c r="F27"/>
    </row>
    <row r="28" spans="2:21" x14ac:dyDescent="0.2">
      <c r="F28"/>
    </row>
    <row r="29" spans="2:21" x14ac:dyDescent="0.2">
      <c r="F29"/>
    </row>
    <row r="30" spans="2:21" x14ac:dyDescent="0.2">
      <c r="F30"/>
    </row>
    <row r="31" spans="2:21" x14ac:dyDescent="0.2">
      <c r="F31"/>
    </row>
    <row r="32" spans="2:21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/>
    </row>
    <row r="48" spans="6:6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  <row r="70" spans="6:6" x14ac:dyDescent="0.2">
      <c r="F70"/>
    </row>
    <row r="71" spans="6:6" x14ac:dyDescent="0.2">
      <c r="F71"/>
    </row>
    <row r="72" spans="6:6" x14ac:dyDescent="0.2">
      <c r="F72"/>
    </row>
    <row r="73" spans="6:6" x14ac:dyDescent="0.2">
      <c r="F73"/>
    </row>
    <row r="74" spans="6:6" x14ac:dyDescent="0.2">
      <c r="F74"/>
    </row>
    <row r="75" spans="6:6" x14ac:dyDescent="0.2">
      <c r="F75"/>
    </row>
    <row r="76" spans="6:6" x14ac:dyDescent="0.2">
      <c r="F76"/>
    </row>
    <row r="77" spans="6:6" x14ac:dyDescent="0.2">
      <c r="F77"/>
    </row>
    <row r="78" spans="6:6" x14ac:dyDescent="0.2">
      <c r="F78"/>
    </row>
    <row r="79" spans="6:6" x14ac:dyDescent="0.2">
      <c r="F79"/>
    </row>
    <row r="80" spans="6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  <row r="87" spans="6:6" x14ac:dyDescent="0.2">
      <c r="F87"/>
    </row>
    <row r="88" spans="6:6" x14ac:dyDescent="0.2">
      <c r="F88"/>
    </row>
    <row r="89" spans="6:6" x14ac:dyDescent="0.2">
      <c r="F89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</sheetData>
  <mergeCells count="8">
    <mergeCell ref="D2:E2"/>
    <mergeCell ref="A4:A9"/>
    <mergeCell ref="A11:A16"/>
    <mergeCell ref="F2:J2"/>
    <mergeCell ref="S1:Z1"/>
    <mergeCell ref="Y2:Z2"/>
    <mergeCell ref="W2:X2"/>
    <mergeCell ref="K2:V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25B09B10F20C499DD786774E74B4A0" ma:contentTypeVersion="3" ma:contentTypeDescription="Opret et nyt dokument." ma:contentTypeScope="" ma:versionID="c6cafd04af08801f5d7585a3f5465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391a9a5862706a061a5fd8fdc565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B65383-096A-423D-AD35-37A82761C7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AA6B55-C6D9-465D-A8B6-CFBABD2D5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6D482F-87ED-4BCF-8495-B4B554D7F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J. A. Worck</dc:creator>
  <cp:lastModifiedBy>Mette Buch Krarup</cp:lastModifiedBy>
  <dcterms:created xsi:type="dcterms:W3CDTF">2018-10-16T11:24:52Z</dcterms:created>
  <dcterms:modified xsi:type="dcterms:W3CDTF">2018-11-13T14:36:07Z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0x010100C525B09B10F20C499DD786774E74B4A0</vt:lpwstr>
  </property>
</Properties>
</file>